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35" sheetId="1" r:id="rId4"/>
  </sheets>
  <definedNames/>
  <calcPr/>
</workbook>
</file>

<file path=xl/sharedStrings.xml><?xml version="1.0" encoding="utf-8"?>
<sst xmlns="http://schemas.openxmlformats.org/spreadsheetml/2006/main" count="38" uniqueCount="38">
  <si>
    <t>Tabel / Table 5.3.5</t>
  </si>
  <si>
    <t xml:space="preserve">Luas Tanaman, Produksi dan Rata-rata Produksi Tanaman Kelapa Sawit Perkebunan </t>
  </si>
  <si>
    <t>Rakyat Menurut Kecamatan di Kabupaten Tanah Bumbu</t>
  </si>
  <si>
    <t>Produktifitas = TM/Produksi*1000</t>
  </si>
  <si>
    <t>Tahun 2023</t>
  </si>
  <si>
    <t>Produksi=TM*produktifitas/1000</t>
  </si>
  <si>
    <t>Luas Tanaman/Area (Ha)</t>
  </si>
  <si>
    <t>JUMLAH (Ha)</t>
  </si>
  <si>
    <t>Kecamatan /</t>
  </si>
  <si>
    <t>Produksi/</t>
  </si>
  <si>
    <t>Rata-rata Produksi/</t>
  </si>
  <si>
    <t>Subdistrict</t>
  </si>
  <si>
    <t>TBM</t>
  </si>
  <si>
    <t>TM</t>
  </si>
  <si>
    <t>TR</t>
  </si>
  <si>
    <t>Production</t>
  </si>
  <si>
    <t xml:space="preserve">average Yield </t>
  </si>
  <si>
    <t>(Ton)</t>
  </si>
  <si>
    <t>(Kg/Ha)</t>
  </si>
  <si>
    <t>(1)</t>
  </si>
  <si>
    <t>(2)</t>
  </si>
  <si>
    <t>(3)</t>
  </si>
  <si>
    <t>(4)</t>
  </si>
  <si>
    <t>(5)</t>
  </si>
  <si>
    <t>(6)</t>
  </si>
  <si>
    <t>(7)</t>
  </si>
  <si>
    <t>total</t>
  </si>
  <si>
    <t>Simpang Empat</t>
  </si>
  <si>
    <t>Batulicin</t>
  </si>
  <si>
    <t>Karang Bintang</t>
  </si>
  <si>
    <t>Mantewe</t>
  </si>
  <si>
    <t>Kusan Hulu</t>
  </si>
  <si>
    <t>Kuranji</t>
  </si>
  <si>
    <t>Kusan Hilir</t>
  </si>
  <si>
    <t>Sungai Loban</t>
  </si>
  <si>
    <t>Angsana</t>
  </si>
  <si>
    <t>Satui</t>
  </si>
  <si>
    <t>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</si>
</sst>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* #,##0.00_);_(* \(#,##0.00\);_(* &quot;-&quot;_);_(@_)"/>
    <numFmt numFmtId="165" formatCode="_(* #,##0.00_);_(* \(#,##0.00\);_(* &quot;-&quot;??_);_(@_)"/>
    <numFmt numFmtId="166" formatCode="_(* #,##0_);_(* \(#,##0\);_(* &quot;-&quot;_);_(@_)"/>
    <numFmt numFmtId="167" formatCode="_(* #,##0_);_(* \(#,##0\);_(* &quot;-&quot;??_);_(@_)"/>
  </numFmts>
  <fonts count="12">
    <font>
      <sz val="10.0"/>
      <color rgb="FF000000"/>
      <name val="Arial"/>
      <scheme val="minor"/>
    </font>
    <font>
      <sz val="16.0"/>
      <color rgb="FF000000"/>
      <name val="Body font"/>
    </font>
    <font>
      <color theme="1"/>
      <name val="Arial"/>
      <scheme val="minor"/>
    </font>
    <font/>
    <font>
      <sz val="12.0"/>
      <color rgb="FF000000"/>
      <name val="Body font"/>
    </font>
    <font>
      <sz val="11.0"/>
      <color rgb="FF000000"/>
      <name val="Body font"/>
    </font>
    <font>
      <sz val="22.0"/>
      <color rgb="FF000000"/>
      <name val="Body font"/>
    </font>
    <font>
      <sz val="16.0"/>
      <color theme="1"/>
      <name val="Body font"/>
    </font>
    <font>
      <sz val="11.0"/>
      <color theme="1"/>
      <name val="Body font"/>
    </font>
    <font>
      <sz val="12.0"/>
      <color theme="1"/>
      <name val="Body font"/>
    </font>
    <font>
      <sz val="10.0"/>
      <color rgb="FF000000"/>
      <name val="Body font"/>
    </font>
    <font>
      <i/>
      <sz val="10.0"/>
      <color rgb="FF000000"/>
      <name val="Body font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2">
    <border/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0" fillId="0" fontId="2" numFmtId="0" xfId="0" applyFont="1"/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horizontal="center" vertical="bottom"/>
    </xf>
    <xf borderId="3" fillId="0" fontId="3" numFmtId="0" xfId="0" applyBorder="1" applyFont="1"/>
    <xf borderId="4" fillId="0" fontId="3" numFmtId="0" xfId="0" applyBorder="1" applyFont="1"/>
    <xf borderId="5" fillId="0" fontId="1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vertical="bottom"/>
    </xf>
    <xf borderId="6" fillId="0" fontId="1" numFmtId="0" xfId="0" applyAlignment="1" applyBorder="1" applyFont="1">
      <alignment vertical="bottom"/>
    </xf>
    <xf borderId="7" fillId="0" fontId="1" numFmtId="0" xfId="0" applyAlignment="1" applyBorder="1" applyFont="1">
      <alignment horizontal="center" vertical="bottom"/>
    </xf>
    <xf borderId="5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horizontal="center" vertical="bottom"/>
    </xf>
    <xf borderId="9" fillId="0" fontId="3" numFmtId="0" xfId="0" applyBorder="1" applyFont="1"/>
    <xf borderId="9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10" fillId="0" fontId="3" numFmtId="0" xfId="0" applyBorder="1" applyFont="1"/>
    <xf borderId="8" fillId="0" fontId="1" numFmtId="0" xfId="0" applyAlignment="1" applyBorder="1" applyFont="1">
      <alignment horizontal="center" vertical="center"/>
    </xf>
    <xf quotePrefix="1" borderId="2" fillId="0" fontId="1" numFmtId="0" xfId="0" applyAlignment="1" applyBorder="1" applyFont="1">
      <alignment horizontal="center" vertical="bottom"/>
    </xf>
    <xf quotePrefix="1" borderId="11" fillId="0" fontId="1" numFmtId="0" xfId="0" applyAlignment="1" applyBorder="1" applyFont="1">
      <alignment horizontal="center" vertical="bottom"/>
    </xf>
    <xf quotePrefix="1" borderId="4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vertical="bottom"/>
    </xf>
    <xf borderId="7" fillId="0" fontId="1" numFmtId="164" xfId="0" applyAlignment="1" applyBorder="1" applyFont="1" applyNumberFormat="1">
      <alignment vertical="bottom"/>
    </xf>
    <xf borderId="9" fillId="0" fontId="1" numFmtId="164" xfId="0" applyAlignment="1" applyBorder="1" applyFont="1" applyNumberFormat="1">
      <alignment vertical="bottom"/>
    </xf>
    <xf borderId="8" fillId="0" fontId="1" numFmtId="164" xfId="0" applyAlignment="1" applyBorder="1" applyFont="1" applyNumberFormat="1">
      <alignment vertical="bottom"/>
    </xf>
    <xf borderId="9" fillId="0" fontId="1" numFmtId="165" xfId="0" applyAlignment="1" applyBorder="1" applyFont="1" applyNumberFormat="1">
      <alignment vertical="bottom"/>
    </xf>
    <xf borderId="0" fillId="0" fontId="4" numFmtId="166" xfId="0" applyAlignment="1" applyFont="1" applyNumberFormat="1">
      <alignment vertical="bottom"/>
    </xf>
    <xf borderId="11" fillId="0" fontId="1" numFmtId="0" xfId="0" applyAlignment="1" applyBorder="1" applyFont="1">
      <alignment vertical="bottom"/>
    </xf>
    <xf borderId="11" fillId="2" fontId="1" numFmtId="166" xfId="0" applyAlignment="1" applyBorder="1" applyFill="1" applyFont="1" applyNumberFormat="1">
      <alignment vertical="bottom"/>
    </xf>
    <xf borderId="11" fillId="0" fontId="1" numFmtId="166" xfId="0" applyAlignment="1" applyBorder="1" applyFont="1" applyNumberFormat="1">
      <alignment vertical="bottom"/>
    </xf>
    <xf borderId="11" fillId="2" fontId="1" numFmtId="167" xfId="0" applyAlignment="1" applyBorder="1" applyFont="1" applyNumberFormat="1">
      <alignment vertical="bottom"/>
    </xf>
    <xf borderId="11" fillId="0" fontId="1" numFmtId="165" xfId="0" applyAlignment="1" applyBorder="1" applyFont="1" applyNumberFormat="1">
      <alignment vertical="bottom"/>
    </xf>
    <xf borderId="0" fillId="0" fontId="5" numFmtId="166" xfId="0" applyAlignment="1" applyFont="1" applyNumberFormat="1">
      <alignment vertical="bottom"/>
    </xf>
    <xf borderId="0" fillId="0" fontId="6" numFmtId="0" xfId="0" applyAlignment="1" applyFont="1">
      <alignment vertical="bottom"/>
    </xf>
    <xf borderId="11" fillId="0" fontId="7" numFmtId="0" xfId="0" applyAlignment="1" applyBorder="1" applyFont="1">
      <alignment vertical="bottom"/>
    </xf>
    <xf borderId="11" fillId="2" fontId="7" numFmtId="167" xfId="0" applyAlignment="1" applyBorder="1" applyFont="1" applyNumberFormat="1">
      <alignment vertical="bottom"/>
    </xf>
    <xf borderId="0" fillId="0" fontId="8" numFmtId="0" xfId="0" applyAlignment="1" applyFont="1">
      <alignment vertical="center"/>
    </xf>
    <xf borderId="0" fillId="0" fontId="8" numFmtId="166" xfId="0" applyAlignment="1" applyFont="1" applyNumberFormat="1">
      <alignment vertical="bottom"/>
    </xf>
    <xf borderId="0" fillId="0" fontId="9" numFmtId="166" xfId="0" applyAlignment="1" applyFont="1" applyNumberFormat="1">
      <alignment vertical="bottom"/>
    </xf>
    <xf borderId="11" fillId="2" fontId="7" numFmtId="166" xfId="0" applyAlignment="1" applyBorder="1" applyFont="1" applyNumberFormat="1">
      <alignment vertical="bottom"/>
    </xf>
    <xf borderId="2" fillId="0" fontId="1" numFmtId="166" xfId="0" applyAlignment="1" applyBorder="1" applyFont="1" applyNumberFormat="1">
      <alignment vertical="bottom"/>
    </xf>
    <xf borderId="4" fillId="0" fontId="1" numFmtId="165" xfId="0" applyAlignment="1" applyBorder="1" applyFont="1" applyNumberFormat="1">
      <alignment vertical="bottom"/>
    </xf>
    <xf borderId="0" fillId="0" fontId="7" numFmtId="0" xfId="0" applyAlignment="1" applyFont="1">
      <alignment vertical="bottom"/>
    </xf>
    <xf borderId="0" fillId="0" fontId="7" numFmtId="0" xfId="0" applyAlignment="1" applyFont="1">
      <alignment vertical="center"/>
    </xf>
    <xf borderId="0" fillId="0" fontId="7" numFmtId="0" xfId="0" applyAlignment="1" applyFont="1">
      <alignment horizontal="left"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10" numFmtId="0" xfId="0" applyAlignment="1" applyFont="1">
      <alignment vertical="bottom"/>
    </xf>
    <xf borderId="0" fillId="0" fontId="1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workbookViewId="0"/>
  </sheetViews>
  <sheetFormatPr customHeight="1" defaultColWidth="12.63" defaultRowHeight="15.75"/>
  <cols>
    <col customWidth="1" min="1" max="1" width="23.5"/>
    <col customWidth="1" min="2" max="2" width="12.75"/>
    <col customWidth="1" min="3" max="3" width="15.13"/>
    <col customWidth="1" min="4" max="5" width="13.5"/>
    <col customWidth="1" min="6" max="6" width="21.13"/>
    <col customWidth="1" min="7" max="7" width="25.0"/>
    <col customWidth="1" min="8" max="8" width="3.5"/>
    <col customWidth="1" min="9" max="12" width="10.0"/>
    <col customWidth="1" min="13" max="13" width="13.25"/>
    <col customWidth="1" min="14" max="15" width="10.0"/>
    <col customWidth="1" min="16" max="16" width="26.13"/>
    <col customWidth="1" min="17" max="26" width="10.0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  <c r="L3" s="2" t="s">
        <v>3</v>
      </c>
    </row>
    <row r="4" ht="14.25" customHeight="1">
      <c r="A4" s="1" t="s">
        <v>4</v>
      </c>
      <c r="L4" s="2" t="s">
        <v>5</v>
      </c>
    </row>
    <row r="5" ht="14.25" customHeight="1">
      <c r="A5" s="2"/>
      <c r="B5" s="2"/>
      <c r="C5" s="2"/>
      <c r="D5" s="2"/>
      <c r="E5" s="2"/>
      <c r="F5" s="2"/>
      <c r="G5" s="2"/>
      <c r="L5" s="3" t="str">
        <f t="shared" ref="L5:L7" si="1">#REF!/G14*1000</f>
        <v>#REF!</v>
      </c>
    </row>
    <row r="6" ht="14.25" customHeight="1">
      <c r="A6" s="4"/>
      <c r="B6" s="5" t="s">
        <v>6</v>
      </c>
      <c r="C6" s="6"/>
      <c r="D6" s="7"/>
      <c r="E6" s="8" t="s">
        <v>7</v>
      </c>
      <c r="F6" s="9"/>
      <c r="G6" s="10"/>
      <c r="L6" s="3" t="str">
        <f t="shared" si="1"/>
        <v>#REF!</v>
      </c>
    </row>
    <row r="7" ht="14.25" customHeight="1">
      <c r="A7" s="11" t="s">
        <v>8</v>
      </c>
      <c r="B7" s="11"/>
      <c r="C7" s="12"/>
      <c r="D7" s="13"/>
      <c r="E7" s="14"/>
      <c r="F7" s="15" t="s">
        <v>9</v>
      </c>
      <c r="G7" s="16" t="s">
        <v>10</v>
      </c>
      <c r="L7" s="3" t="str">
        <f t="shared" si="1"/>
        <v>#REF!</v>
      </c>
    </row>
    <row r="8" ht="14.25" customHeight="1">
      <c r="A8" s="11" t="s">
        <v>11</v>
      </c>
      <c r="B8" s="11" t="s">
        <v>12</v>
      </c>
      <c r="C8" s="15" t="s">
        <v>13</v>
      </c>
      <c r="D8" s="13" t="s">
        <v>14</v>
      </c>
      <c r="E8" s="14"/>
      <c r="F8" s="15" t="s">
        <v>15</v>
      </c>
      <c r="G8" s="13" t="s">
        <v>16</v>
      </c>
      <c r="L8" s="3" t="str">
        <f>#REF!/#REF!*1000</f>
        <v>#REF!</v>
      </c>
      <c r="P8" s="3">
        <f>164/15572*1000</f>
        <v>10.53172361</v>
      </c>
    </row>
    <row r="9" ht="14.25" customHeight="1">
      <c r="A9" s="11"/>
      <c r="B9" s="11"/>
      <c r="C9" s="15"/>
      <c r="D9" s="13"/>
      <c r="E9" s="17"/>
      <c r="F9" s="15" t="s">
        <v>17</v>
      </c>
      <c r="G9" s="18" t="s">
        <v>18</v>
      </c>
      <c r="L9" s="3" t="str">
        <f t="shared" ref="L9:L10" si="2">#REF!/G17*1000</f>
        <v>#REF!</v>
      </c>
    </row>
    <row r="10" ht="14.25" customHeight="1">
      <c r="A10" s="19" t="s">
        <v>19</v>
      </c>
      <c r="B10" s="19" t="s">
        <v>20</v>
      </c>
      <c r="C10" s="20" t="s">
        <v>21</v>
      </c>
      <c r="D10" s="21" t="s">
        <v>22</v>
      </c>
      <c r="E10" s="20" t="s">
        <v>23</v>
      </c>
      <c r="F10" s="21" t="s">
        <v>24</v>
      </c>
      <c r="G10" s="21" t="s">
        <v>25</v>
      </c>
      <c r="L10" s="3" t="str">
        <f t="shared" si="2"/>
        <v>#REF!</v>
      </c>
    </row>
    <row r="11" ht="14.25" customHeight="1">
      <c r="A11" s="22"/>
      <c r="B11" s="23"/>
      <c r="C11" s="24"/>
      <c r="D11" s="25"/>
      <c r="E11" s="25"/>
      <c r="F11" s="26"/>
      <c r="G11" s="16"/>
      <c r="I11" s="3" t="s">
        <v>26</v>
      </c>
      <c r="L11" s="3" t="str">
        <f>#REF!/#REF!*1000</f>
        <v>#REF!</v>
      </c>
      <c r="M11" s="27"/>
      <c r="N11" s="27"/>
    </row>
    <row r="12" ht="14.25" customHeight="1">
      <c r="A12" s="28" t="s">
        <v>27</v>
      </c>
      <c r="B12" s="29">
        <f>170-42+14-40+9-5</f>
        <v>106</v>
      </c>
      <c r="C12" s="29">
        <f>164+42-22+40-10+5-3</f>
        <v>216</v>
      </c>
      <c r="D12" s="29">
        <f>2+22-14+10+3</f>
        <v>23</v>
      </c>
      <c r="E12" s="30">
        <f t="shared" ref="E12:E21" si="3">SUM(B12:D12)</f>
        <v>345</v>
      </c>
      <c r="F12" s="31">
        <v>3541.11</v>
      </c>
      <c r="G12" s="32">
        <f t="shared" ref="G12:G22" si="4">F12/C12*1000</f>
        <v>16394.02778</v>
      </c>
      <c r="I12" s="33" t="str">
        <f t="shared" ref="I12:I19" si="5">SUM(#REF!)</f>
        <v>#REF!</v>
      </c>
      <c r="L12" s="3" t="str">
        <f>#REF!/G19*1000</f>
        <v>#REF!</v>
      </c>
      <c r="M12" s="27"/>
      <c r="N12" s="27"/>
    </row>
    <row r="13" ht="14.25" customHeight="1">
      <c r="A13" s="28" t="s">
        <v>28</v>
      </c>
      <c r="B13" s="29">
        <f>112-17-17-3</f>
        <v>75</v>
      </c>
      <c r="C13" s="29">
        <f>207+17+17-6+3-6</f>
        <v>232</v>
      </c>
      <c r="D13" s="29">
        <f>2+6+5</f>
        <v>13</v>
      </c>
      <c r="E13" s="30">
        <f t="shared" si="3"/>
        <v>320</v>
      </c>
      <c r="F13" s="31">
        <v>3939.895</v>
      </c>
      <c r="G13" s="32">
        <f t="shared" si="4"/>
        <v>16982.30603</v>
      </c>
      <c r="I13" s="33" t="str">
        <f t="shared" si="5"/>
        <v>#REF!</v>
      </c>
      <c r="L13" s="27" t="str">
        <f>SUM(L5:L12)</f>
        <v>#REF!</v>
      </c>
      <c r="M13" s="27"/>
      <c r="N13" s="27"/>
      <c r="P13" s="34" t="str">
        <f>#REF!/F12*1000</f>
        <v>#REF!</v>
      </c>
    </row>
    <row r="14" ht="14.25" customHeight="1">
      <c r="A14" s="28" t="s">
        <v>29</v>
      </c>
      <c r="B14" s="29">
        <f>167-46+121+11+7-8</f>
        <v>252</v>
      </c>
      <c r="C14" s="29">
        <f>577+46-87-31-79+8</f>
        <v>434</v>
      </c>
      <c r="D14" s="29">
        <f>3+87-90+79</f>
        <v>79</v>
      </c>
      <c r="E14" s="30">
        <f t="shared" si="3"/>
        <v>765</v>
      </c>
      <c r="F14" s="31">
        <v>6973.266</v>
      </c>
      <c r="G14" s="32">
        <f t="shared" si="4"/>
        <v>16067.43318</v>
      </c>
      <c r="I14" s="33" t="str">
        <f t="shared" si="5"/>
        <v>#REF!</v>
      </c>
      <c r="L14" s="27"/>
      <c r="M14" s="27"/>
      <c r="N14" s="27"/>
    </row>
    <row r="15" ht="14.25" customHeight="1">
      <c r="A15" s="28" t="s">
        <v>30</v>
      </c>
      <c r="B15" s="29">
        <f>589+83+503-110+226-249+6-589</f>
        <v>459</v>
      </c>
      <c r="C15" s="29">
        <f>3253-372+186+110+249-174-56+589-45</f>
        <v>3740</v>
      </c>
      <c r="D15" s="29">
        <f>150+103-226+174+56+37</f>
        <v>294</v>
      </c>
      <c r="E15" s="30">
        <f t="shared" si="3"/>
        <v>4493</v>
      </c>
      <c r="F15" s="31">
        <v>53864.932</v>
      </c>
      <c r="G15" s="32">
        <f t="shared" si="4"/>
        <v>14402.38824</v>
      </c>
      <c r="I15" s="33" t="str">
        <f t="shared" si="5"/>
        <v>#REF!</v>
      </c>
      <c r="L15" s="27"/>
      <c r="M15" s="27"/>
      <c r="N15" s="27"/>
    </row>
    <row r="16" ht="14.25" customHeight="1">
      <c r="A16" s="35" t="s">
        <v>31</v>
      </c>
      <c r="B16" s="29">
        <f>745-306-163+3-4</f>
        <v>275</v>
      </c>
      <c r="C16" s="29">
        <f>3688+306-67+163-9+4-67</f>
        <v>4018</v>
      </c>
      <c r="D16" s="29">
        <f>5+67+9+67</f>
        <v>148</v>
      </c>
      <c r="E16" s="30">
        <f t="shared" si="3"/>
        <v>4441</v>
      </c>
      <c r="F16" s="36">
        <v>75951.068</v>
      </c>
      <c r="G16" s="32">
        <f t="shared" si="4"/>
        <v>18902.70483</v>
      </c>
      <c r="H16" s="37"/>
      <c r="I16" s="38" t="str">
        <f t="shared" si="5"/>
        <v>#REF!</v>
      </c>
      <c r="J16" s="37"/>
      <c r="K16" s="37"/>
      <c r="L16" s="39"/>
      <c r="M16" s="39"/>
      <c r="N16" s="39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ht="14.25" customHeight="1">
      <c r="A17" s="35" t="s">
        <v>32</v>
      </c>
      <c r="B17" s="29">
        <f>137-42-75+135+4-6</f>
        <v>153</v>
      </c>
      <c r="C17" s="40">
        <f>4350+42-30-50-9-57+6-79</f>
        <v>4173</v>
      </c>
      <c r="D17" s="40">
        <f>4+30-10+9+57+79</f>
        <v>169</v>
      </c>
      <c r="E17" s="30">
        <f t="shared" si="3"/>
        <v>4495</v>
      </c>
      <c r="F17" s="36">
        <v>83387.262</v>
      </c>
      <c r="G17" s="32">
        <f t="shared" si="4"/>
        <v>19982.56937</v>
      </c>
      <c r="H17" s="37"/>
      <c r="I17" s="38" t="str">
        <f t="shared" si="5"/>
        <v>#REF!</v>
      </c>
      <c r="J17" s="38"/>
      <c r="K17" s="37"/>
      <c r="L17" s="39"/>
      <c r="M17" s="39"/>
      <c r="N17" s="39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ht="14.25" customHeight="1">
      <c r="A18" s="35" t="s">
        <v>33</v>
      </c>
      <c r="B18" s="40">
        <f>354-25-146+2-8</f>
        <v>177</v>
      </c>
      <c r="C18" s="40">
        <f>687+25+146+8-3</f>
        <v>863</v>
      </c>
      <c r="D18" s="40">
        <f>51+3</f>
        <v>54</v>
      </c>
      <c r="E18" s="30">
        <f t="shared" si="3"/>
        <v>1094</v>
      </c>
      <c r="F18" s="36">
        <v>14732.764</v>
      </c>
      <c r="G18" s="32">
        <f t="shared" si="4"/>
        <v>17071.56895</v>
      </c>
      <c r="H18" s="37"/>
      <c r="I18" s="38" t="str">
        <f t="shared" si="5"/>
        <v>#REF!</v>
      </c>
      <c r="J18" s="37"/>
      <c r="K18" s="37"/>
      <c r="L18" s="39"/>
      <c r="M18" s="39"/>
      <c r="N18" s="39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ht="14.25" customHeight="1">
      <c r="A19" s="28" t="s">
        <v>34</v>
      </c>
      <c r="B19" s="40">
        <f>76+65+20-66+5-7</f>
        <v>93</v>
      </c>
      <c r="C19" s="29">
        <f>5846+17-85+66-8-17+7-5</f>
        <v>5821</v>
      </c>
      <c r="D19" s="29">
        <f>4+3+8+17+5</f>
        <v>37</v>
      </c>
      <c r="E19" s="30">
        <f t="shared" si="3"/>
        <v>5951</v>
      </c>
      <c r="F19" s="31">
        <v>119425.392</v>
      </c>
      <c r="G19" s="32">
        <f t="shared" si="4"/>
        <v>20516.30167</v>
      </c>
      <c r="I19" s="33" t="str">
        <f t="shared" si="5"/>
        <v>#REF!</v>
      </c>
    </row>
    <row r="20" ht="14.25" customHeight="1">
      <c r="A20" s="28" t="s">
        <v>35</v>
      </c>
      <c r="B20" s="29">
        <f>14-3-4</f>
        <v>7</v>
      </c>
      <c r="C20" s="29">
        <f>4521-53+3-11-18-13+4-35</f>
        <v>4398</v>
      </c>
      <c r="D20" s="29">
        <f>4+53+11-11+13</f>
        <v>70</v>
      </c>
      <c r="E20" s="30">
        <f t="shared" si="3"/>
        <v>4475</v>
      </c>
      <c r="F20" s="31">
        <v>89113.078</v>
      </c>
      <c r="G20" s="32">
        <f t="shared" si="4"/>
        <v>20262.18236</v>
      </c>
      <c r="I20" s="33" t="str">
        <f>SUM(I12:I19)</f>
        <v>#REF!</v>
      </c>
      <c r="J20" s="33"/>
    </row>
    <row r="21" ht="21.0" customHeight="1">
      <c r="A21" s="28" t="s">
        <v>36</v>
      </c>
      <c r="B21" s="29">
        <f>140-21-29-16</f>
        <v>74</v>
      </c>
      <c r="C21" s="29">
        <f>8850-12+21-7+29-34-23+16-23</f>
        <v>8817</v>
      </c>
      <c r="D21" s="29">
        <f>5+12-3+7-7+23</f>
        <v>37</v>
      </c>
      <c r="E21" s="30">
        <f t="shared" si="3"/>
        <v>8928</v>
      </c>
      <c r="F21" s="31">
        <v>173105.685</v>
      </c>
      <c r="G21" s="32">
        <f t="shared" si="4"/>
        <v>19633.17285</v>
      </c>
    </row>
    <row r="22" ht="14.25" customHeight="1">
      <c r="A22" s="5" t="s">
        <v>37</v>
      </c>
      <c r="B22" s="41">
        <f t="shared" ref="B22:F22" si="6">SUM(B12:B21)</f>
        <v>1671</v>
      </c>
      <c r="C22" s="41">
        <f t="shared" si="6"/>
        <v>32712</v>
      </c>
      <c r="D22" s="41">
        <f t="shared" si="6"/>
        <v>924</v>
      </c>
      <c r="E22" s="41">
        <f t="shared" si="6"/>
        <v>35307</v>
      </c>
      <c r="F22" s="41">
        <f t="shared" si="6"/>
        <v>624034.452</v>
      </c>
      <c r="G22" s="42">
        <f t="shared" si="4"/>
        <v>19076.62179</v>
      </c>
    </row>
    <row r="23" ht="14.25" customHeight="1">
      <c r="A23" s="43"/>
      <c r="B23" s="43"/>
      <c r="C23" s="43"/>
      <c r="D23" s="44"/>
      <c r="E23" s="44"/>
      <c r="F23" s="43"/>
      <c r="G23" s="27"/>
    </row>
    <row r="24" ht="14.25" customHeight="1">
      <c r="A24" s="43"/>
      <c r="B24" s="45"/>
      <c r="C24" s="43"/>
      <c r="D24" s="44"/>
      <c r="E24" s="44"/>
      <c r="F24" s="43"/>
      <c r="G24" s="27"/>
    </row>
    <row r="25" ht="14.25" customHeight="1">
      <c r="A25" s="43"/>
      <c r="B25" s="43"/>
      <c r="C25" s="43"/>
      <c r="D25" s="44"/>
      <c r="E25" s="44"/>
      <c r="F25" s="43"/>
      <c r="G25" s="27"/>
    </row>
    <row r="26" ht="14.25" customHeight="1">
      <c r="A26" s="43"/>
      <c r="B26" s="43"/>
      <c r="C26" s="43"/>
      <c r="D26" s="44"/>
      <c r="E26" s="44"/>
      <c r="F26" s="43"/>
      <c r="G26" s="27"/>
    </row>
    <row r="27" ht="14.25" customHeight="1">
      <c r="A27" s="43"/>
      <c r="B27" s="43"/>
      <c r="C27" s="43"/>
      <c r="D27" s="44"/>
      <c r="E27" s="44"/>
      <c r="F27" s="43"/>
      <c r="G27" s="27"/>
    </row>
    <row r="28" ht="14.25" customHeight="1">
      <c r="A28" s="46"/>
      <c r="B28" s="27"/>
      <c r="C28" s="27"/>
      <c r="D28" s="27"/>
      <c r="E28" s="27"/>
      <c r="F28" s="27"/>
      <c r="G28" s="47"/>
    </row>
    <row r="29" ht="14.25" customHeight="1">
      <c r="A29" s="46"/>
      <c r="B29" s="27"/>
      <c r="C29" s="27"/>
      <c r="D29" s="27"/>
      <c r="E29" s="27"/>
      <c r="F29" s="27"/>
      <c r="G29" s="47"/>
    </row>
    <row r="30" ht="14.25" customHeight="1">
      <c r="A30" s="46"/>
      <c r="B30" s="27"/>
      <c r="C30" s="27"/>
      <c r="D30" s="27"/>
      <c r="E30" s="27"/>
      <c r="F30" s="27"/>
      <c r="G30" s="47"/>
    </row>
    <row r="31" ht="14.25" customHeight="1">
      <c r="A31" s="46"/>
      <c r="B31" s="27"/>
      <c r="C31" s="27"/>
      <c r="D31" s="27"/>
      <c r="E31" s="27"/>
      <c r="F31" s="27"/>
      <c r="G31" s="47"/>
    </row>
    <row r="32" ht="14.25" customHeight="1">
      <c r="A32" s="46"/>
      <c r="B32" s="27"/>
      <c r="C32" s="27"/>
      <c r="D32" s="27"/>
      <c r="E32" s="27"/>
      <c r="F32" s="27"/>
      <c r="G32" s="47"/>
    </row>
    <row r="33" ht="14.25" customHeight="1">
      <c r="A33" s="48"/>
      <c r="B33" s="47"/>
      <c r="C33" s="47"/>
      <c r="D33" s="47"/>
      <c r="E33" s="47"/>
      <c r="F33" s="47"/>
      <c r="G33" s="47"/>
    </row>
    <row r="34" ht="14.25" customHeight="1">
      <c r="A34" s="49"/>
      <c r="B34" s="47"/>
      <c r="C34" s="47"/>
      <c r="D34" s="47"/>
      <c r="E34" s="47"/>
      <c r="F34" s="47"/>
      <c r="G34" s="47"/>
    </row>
    <row r="35" ht="14.25" customHeight="1">
      <c r="A35" s="47"/>
      <c r="B35" s="47"/>
      <c r="C35" s="47"/>
      <c r="D35" s="47"/>
      <c r="E35" s="47"/>
      <c r="F35" s="47"/>
      <c r="G35" s="47"/>
    </row>
    <row r="36" ht="14.25" customHeight="1">
      <c r="A36" s="47"/>
      <c r="B36" s="47"/>
      <c r="C36" s="47"/>
      <c r="D36" s="47"/>
      <c r="E36" s="47"/>
      <c r="F36" s="47"/>
      <c r="G36" s="47"/>
    </row>
    <row r="37" ht="14.25" customHeight="1">
      <c r="A37" s="47"/>
      <c r="B37" s="47"/>
      <c r="C37" s="47"/>
      <c r="D37" s="47"/>
      <c r="E37" s="47"/>
      <c r="F37" s="47"/>
      <c r="G37" s="47"/>
    </row>
    <row r="38" ht="14.25" customHeight="1">
      <c r="A38" s="47"/>
      <c r="B38" s="47"/>
      <c r="C38" s="47"/>
      <c r="D38" s="47"/>
      <c r="E38" s="47"/>
      <c r="F38" s="47"/>
      <c r="G38" s="47"/>
    </row>
    <row r="39" ht="14.25" customHeight="1">
      <c r="A39" s="47"/>
      <c r="B39" s="47"/>
      <c r="C39" s="47"/>
      <c r="D39" s="47"/>
      <c r="E39" s="47"/>
      <c r="F39" s="47"/>
      <c r="G39" s="47"/>
    </row>
    <row r="40" ht="14.25" customHeight="1">
      <c r="A40" s="47"/>
      <c r="B40" s="47"/>
      <c r="C40" s="47"/>
      <c r="D40" s="47"/>
      <c r="E40" s="47"/>
      <c r="F40" s="47"/>
      <c r="G40" s="47"/>
    </row>
    <row r="41" ht="14.25" customHeight="1">
      <c r="A41" s="47"/>
      <c r="B41" s="47"/>
      <c r="C41" s="47"/>
      <c r="D41" s="47"/>
      <c r="E41" s="47"/>
      <c r="F41" s="47"/>
      <c r="G41" s="47"/>
    </row>
    <row r="42" ht="14.25" customHeight="1">
      <c r="A42" s="47"/>
      <c r="B42" s="47"/>
      <c r="C42" s="47"/>
      <c r="D42" s="47"/>
      <c r="E42" s="47"/>
      <c r="F42" s="47"/>
      <c r="G42" s="47"/>
    </row>
    <row r="43" ht="14.25" customHeight="1">
      <c r="A43" s="47"/>
      <c r="B43" s="47"/>
      <c r="C43" s="47"/>
      <c r="D43" s="47"/>
      <c r="E43" s="47"/>
      <c r="F43" s="47"/>
    </row>
    <row r="44" ht="14.25" customHeight="1">
      <c r="A44" s="47"/>
      <c r="B44" s="47"/>
      <c r="C44" s="47"/>
      <c r="D44" s="47"/>
      <c r="E44" s="47"/>
      <c r="F44" s="47"/>
    </row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G1"/>
    <mergeCell ref="A2:G2"/>
    <mergeCell ref="A3:G3"/>
    <mergeCell ref="A4:G4"/>
    <mergeCell ref="B6:D6"/>
    <mergeCell ref="E6:E9"/>
  </mergeCells>
  <printOptions horizontalCentered="1"/>
  <pageMargins bottom="0.748031496062992" footer="0.0" header="0.0" left="0.708661417322835" right="0.708661417322835" top="0.748031496062992"/>
  <pageSetup paperSize="5" scale="65" orientation="portrait"/>
  <drawing r:id="rId1"/>
</worksheet>
</file>